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Introduction" sheetId="1" r:id="rId1"/>
    <sheet name="Measurements" sheetId="2" r:id="rId2"/>
    <sheet name="Calculation" sheetId="3" r:id="rId3"/>
  </sheets>
  <definedNames>
    <definedName name="alphaS">'Calculation'!$B$11</definedName>
    <definedName name="deg">'Calculation'!$B$14</definedName>
    <definedName name="deltaS">'Calculation'!$B$12</definedName>
    <definedName name="dSun">'Calculation'!$B$10</definedName>
    <definedName name="lat1">'Calculation'!$C$5</definedName>
    <definedName name="lat2">'Calculation'!$C$6</definedName>
    <definedName name="long1">'Calculation'!$D$5</definedName>
    <definedName name="long2">'Calculation'!$D$6</definedName>
    <definedName name="Obs1">'Measurements'!$I$6</definedName>
    <definedName name="Obs2">'Measurements'!$J$6</definedName>
    <definedName name="RE">'Calculation'!$B$16</definedName>
    <definedName name="rhoS">'Calculation'!$B$8</definedName>
    <definedName name="rVenus">'Calculation'!$B$9</definedName>
    <definedName name="STdurchUT">'Calculation'!$B$15</definedName>
    <definedName name="theta1">'Calculation'!$B$19</definedName>
    <definedName name="theta2">'Calculation'!$B$20</definedName>
    <definedName name="thetaGr0">'Calculation'!$B$13</definedName>
    <definedName name="Tokyo">'Calculation'!$B$6</definedName>
    <definedName name="values">'Measurements'!$A$5:$H$54</definedName>
    <definedName name="xrel1">'Calculation'!$F$5</definedName>
    <definedName name="xrel2">'Calculation'!$F$6</definedName>
    <definedName name="yrel1">'Calculation'!$G$5</definedName>
    <definedName name="yrel2">'Calculation'!$G$6</definedName>
  </definedNames>
  <calcPr fullCalcOnLoad="1"/>
</workbook>
</file>

<file path=xl/sharedStrings.xml><?xml version="1.0" encoding="utf-8"?>
<sst xmlns="http://schemas.openxmlformats.org/spreadsheetml/2006/main" count="49" uniqueCount="44">
  <si>
    <t>rhoS</t>
  </si>
  <si>
    <t>alphaS</t>
  </si>
  <si>
    <t>deltaS</t>
  </si>
  <si>
    <t>thetaGr0</t>
  </si>
  <si>
    <t>deg</t>
  </si>
  <si>
    <t>name</t>
  </si>
  <si>
    <t>location</t>
  </si>
  <si>
    <t>latitude</t>
  </si>
  <si>
    <t>longitude</t>
  </si>
  <si>
    <t>UT</t>
  </si>
  <si>
    <t>x'</t>
  </si>
  <si>
    <t>y'</t>
  </si>
  <si>
    <t>theor.</t>
  </si>
  <si>
    <t>STdurchUT</t>
  </si>
  <si>
    <t>rSun</t>
  </si>
  <si>
    <t>rVenus</t>
  </si>
  <si>
    <t>rObs2</t>
  </si>
  <si>
    <t>rObs1</t>
  </si>
  <si>
    <t>rSun*(rObs2-rObs1)</t>
  </si>
  <si>
    <t>w in deg</t>
  </si>
  <si>
    <t>beta in "</t>
  </si>
  <si>
    <t>piSun in "</t>
  </si>
  <si>
    <t>theta1 in deg</t>
  </si>
  <si>
    <t>theta2 in deg</t>
  </si>
  <si>
    <t>rObs2-rObs1</t>
  </si>
  <si>
    <t>1AE in RE</t>
  </si>
  <si>
    <t>RE in km</t>
  </si>
  <si>
    <t>1AE in km</t>
  </si>
  <si>
    <t>no.</t>
  </si>
  <si>
    <t>observer</t>
  </si>
  <si>
    <t>latitude in deg</t>
  </si>
  <si>
    <t>longitude in deg</t>
  </si>
  <si>
    <t>Results of position measurements</t>
  </si>
  <si>
    <t>Comparison of 2 simultaneous positions</t>
  </si>
  <si>
    <t>No. 1</t>
  </si>
  <si>
    <t>No.2</t>
  </si>
  <si>
    <t>The content of this worksheet must not be changed!</t>
  </si>
  <si>
    <t>Transit of Venus, June 5/6, 2012</t>
  </si>
  <si>
    <t>Evaluation of 2 simultaneous position measurements</t>
  </si>
  <si>
    <t xml:space="preserve">This sheet has been designed for the input of all measurements of Venus' positions within the project "Simultaneously Photographing" of www.venus2012.de. In order to get a measure for the Astronomical Unit, i. e. the distance between Earth and the Sun, the results which have been input into the data exchange page of that project (http://www.venus2012.de/php/inscribepositions.php) and which have been downloaded from the related download page (http://www.venus2012.de/php/downloadpositions.php) have to be copied into worksheet "Measurements" (columns B-H). </t>
  </si>
  <si>
    <r>
      <t xml:space="preserve">If two </t>
    </r>
    <r>
      <rPr>
        <i/>
        <sz val="12"/>
        <rFont val="Arial"/>
        <family val="0"/>
      </rPr>
      <t>simultaneously (</t>
    </r>
    <r>
      <rPr>
        <i/>
        <sz val="12"/>
        <rFont val="Times New Roman"/>
        <family val="1"/>
      </rPr>
      <t>∆</t>
    </r>
    <r>
      <rPr>
        <i/>
        <sz val="12"/>
        <rFont val="Arial"/>
        <family val="0"/>
      </rPr>
      <t>t&lt;=5min)</t>
    </r>
    <r>
      <rPr>
        <sz val="12"/>
        <rFont val="Arial"/>
        <family val="0"/>
      </rPr>
      <t xml:space="preserve"> measured positions from distant sites are chosen in cells I6 and J6 the corresponding measure of the solar parallax will be calculated in worksheet "Calculation" and displayed in cells J8-J10.</t>
    </r>
  </si>
  <si>
    <t>Sydney</t>
  </si>
  <si>
    <t>Anchorage</t>
  </si>
  <si>
    <t>dSun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</si>
</sst>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0.0000"/>
    <numFmt numFmtId="166" formatCode="0.000000"/>
    <numFmt numFmtId="167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Alignment="1" applyProtection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7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1" fontId="0" fillId="2" borderId="0" xfId="0" applyNumberFormat="1" applyFill="1" applyAlignment="1">
      <alignment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J27" sqref="J27"/>
    </sheetView>
  </sheetViews>
  <sheetFormatPr defaultColWidth="11.421875" defaultRowHeight="12.75"/>
  <sheetData>
    <row r="2" spans="2:10" ht="12.75">
      <c r="B2" s="20" t="s">
        <v>37</v>
      </c>
      <c r="C2" s="20"/>
      <c r="D2" s="20"/>
      <c r="E2" s="20"/>
      <c r="F2" s="20"/>
      <c r="G2" s="20"/>
      <c r="H2" s="20"/>
      <c r="I2" s="20"/>
      <c r="J2" s="20"/>
    </row>
    <row r="3" spans="2:10" ht="15.75">
      <c r="B3" s="21" t="s">
        <v>38</v>
      </c>
      <c r="C3" s="21"/>
      <c r="D3" s="21"/>
      <c r="E3" s="21"/>
      <c r="F3" s="21"/>
      <c r="G3" s="21"/>
      <c r="H3" s="21"/>
      <c r="I3" s="21"/>
      <c r="J3" s="21"/>
    </row>
    <row r="5" spans="2:10" ht="12.75" customHeight="1">
      <c r="B5" s="22" t="s">
        <v>39</v>
      </c>
      <c r="C5" s="22"/>
      <c r="D5" s="22"/>
      <c r="E5" s="22"/>
      <c r="F5" s="22"/>
      <c r="G5" s="22"/>
      <c r="H5" s="22"/>
      <c r="I5" s="22"/>
      <c r="J5" s="22"/>
    </row>
    <row r="6" spans="2:10" ht="12.75" customHeight="1">
      <c r="B6" s="22"/>
      <c r="C6" s="22"/>
      <c r="D6" s="22"/>
      <c r="E6" s="22"/>
      <c r="F6" s="22"/>
      <c r="G6" s="22"/>
      <c r="H6" s="22"/>
      <c r="I6" s="22"/>
      <c r="J6" s="22"/>
    </row>
    <row r="7" spans="2:10" ht="12.75" customHeight="1">
      <c r="B7" s="22"/>
      <c r="C7" s="22"/>
      <c r="D7" s="22"/>
      <c r="E7" s="22"/>
      <c r="F7" s="22"/>
      <c r="G7" s="22"/>
      <c r="H7" s="22"/>
      <c r="I7" s="22"/>
      <c r="J7" s="22"/>
    </row>
    <row r="8" spans="2:10" ht="12.75" customHeight="1">
      <c r="B8" s="22"/>
      <c r="C8" s="22"/>
      <c r="D8" s="22"/>
      <c r="E8" s="22"/>
      <c r="F8" s="22"/>
      <c r="G8" s="22"/>
      <c r="H8" s="22"/>
      <c r="I8" s="22"/>
      <c r="J8" s="22"/>
    </row>
    <row r="9" spans="2:10" ht="12.75" customHeight="1">
      <c r="B9" s="22"/>
      <c r="C9" s="22"/>
      <c r="D9" s="22"/>
      <c r="E9" s="22"/>
      <c r="F9" s="22"/>
      <c r="G9" s="22"/>
      <c r="H9" s="22"/>
      <c r="I9" s="22"/>
      <c r="J9" s="22"/>
    </row>
    <row r="10" spans="2:10" ht="12.75" customHeight="1">
      <c r="B10" s="22"/>
      <c r="C10" s="22"/>
      <c r="D10" s="22"/>
      <c r="E10" s="22"/>
      <c r="F10" s="22"/>
      <c r="G10" s="22"/>
      <c r="H10" s="22"/>
      <c r="I10" s="22"/>
      <c r="J10" s="22"/>
    </row>
    <row r="11" spans="2:10" ht="12.75" customHeight="1">
      <c r="B11" s="22"/>
      <c r="C11" s="22"/>
      <c r="D11" s="22"/>
      <c r="E11" s="22"/>
      <c r="F11" s="22"/>
      <c r="G11" s="22"/>
      <c r="H11" s="22"/>
      <c r="I11" s="22"/>
      <c r="J11" s="22"/>
    </row>
    <row r="12" spans="2:10" ht="12.75" customHeight="1">
      <c r="B12" s="22"/>
      <c r="C12" s="22"/>
      <c r="D12" s="22"/>
      <c r="E12" s="22"/>
      <c r="F12" s="22"/>
      <c r="G12" s="22"/>
      <c r="H12" s="22"/>
      <c r="I12" s="22"/>
      <c r="J12" s="22"/>
    </row>
    <row r="13" spans="2:10" ht="12.75" customHeight="1">
      <c r="B13" s="22"/>
      <c r="C13" s="22"/>
      <c r="D13" s="22"/>
      <c r="E13" s="22"/>
      <c r="F13" s="22"/>
      <c r="G13" s="22"/>
      <c r="H13" s="22"/>
      <c r="I13" s="22"/>
      <c r="J13" s="22"/>
    </row>
    <row r="14" spans="2:10" ht="12.75" customHeight="1">
      <c r="B14" s="22" t="s">
        <v>40</v>
      </c>
      <c r="C14" s="22"/>
      <c r="D14" s="22"/>
      <c r="E14" s="22"/>
      <c r="F14" s="22"/>
      <c r="G14" s="22"/>
      <c r="H14" s="22"/>
      <c r="I14" s="22"/>
      <c r="J14" s="22"/>
    </row>
    <row r="15" spans="2:10" ht="12.75" customHeight="1">
      <c r="B15" s="22"/>
      <c r="C15" s="22"/>
      <c r="D15" s="22"/>
      <c r="E15" s="22"/>
      <c r="F15" s="22"/>
      <c r="G15" s="22"/>
      <c r="H15" s="22"/>
      <c r="I15" s="22"/>
      <c r="J15" s="22"/>
    </row>
    <row r="16" spans="2:10" ht="12.75" customHeight="1">
      <c r="B16" s="22"/>
      <c r="C16" s="22"/>
      <c r="D16" s="22"/>
      <c r="E16" s="22"/>
      <c r="F16" s="22"/>
      <c r="G16" s="22"/>
      <c r="H16" s="22"/>
      <c r="I16" s="22"/>
      <c r="J16" s="22"/>
    </row>
    <row r="17" spans="2:10" ht="12.75" customHeight="1">
      <c r="B17" s="22"/>
      <c r="C17" s="22"/>
      <c r="D17" s="22"/>
      <c r="E17" s="22"/>
      <c r="F17" s="22"/>
      <c r="G17" s="22"/>
      <c r="H17" s="22"/>
      <c r="I17" s="22"/>
      <c r="J17" s="22"/>
    </row>
    <row r="18" spans="2:10" ht="12.75" customHeight="1">
      <c r="B18" s="19"/>
      <c r="C18" s="19"/>
      <c r="D18" s="19"/>
      <c r="E18" s="19"/>
      <c r="F18" s="19"/>
      <c r="G18" s="19"/>
      <c r="H18" s="19"/>
      <c r="I18" s="19"/>
      <c r="J18" s="19"/>
    </row>
  </sheetData>
  <mergeCells count="4">
    <mergeCell ref="B2:J2"/>
    <mergeCell ref="B3:J3"/>
    <mergeCell ref="B5:J13"/>
    <mergeCell ref="B14:J1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H17" sqref="H17"/>
    </sheetView>
  </sheetViews>
  <sheetFormatPr defaultColWidth="11.421875" defaultRowHeight="12.75"/>
  <cols>
    <col min="1" max="1" width="5.57421875" style="0" customWidth="1"/>
    <col min="2" max="2" width="21.00390625" style="0" customWidth="1"/>
    <col min="3" max="3" width="22.8515625" style="0" customWidth="1"/>
    <col min="4" max="4" width="13.8515625" style="0" customWidth="1"/>
    <col min="5" max="5" width="15.140625" style="0" customWidth="1"/>
    <col min="9" max="10" width="12.7109375" style="0" customWidth="1"/>
  </cols>
  <sheetData>
    <row r="2" spans="2:8" ht="15.75">
      <c r="B2" s="21" t="s">
        <v>32</v>
      </c>
      <c r="C2" s="21"/>
      <c r="D2" s="21"/>
      <c r="E2" s="21"/>
      <c r="F2" s="21"/>
      <c r="G2" s="21"/>
      <c r="H2" s="21"/>
    </row>
    <row r="3" spans="9:10" ht="12.75">
      <c r="I3" s="23" t="s">
        <v>33</v>
      </c>
      <c r="J3" s="23"/>
    </row>
    <row r="4" spans="1:10" ht="12.75">
      <c r="A4" s="7" t="s">
        <v>28</v>
      </c>
      <c r="B4" s="7" t="s">
        <v>29</v>
      </c>
      <c r="C4" s="7" t="s">
        <v>6</v>
      </c>
      <c r="D4" s="7" t="s">
        <v>30</v>
      </c>
      <c r="E4" s="7" t="s">
        <v>31</v>
      </c>
      <c r="F4" s="7" t="s">
        <v>9</v>
      </c>
      <c r="G4" s="8" t="s">
        <v>10</v>
      </c>
      <c r="H4" s="8" t="s">
        <v>11</v>
      </c>
      <c r="I4" s="23"/>
      <c r="J4" s="23"/>
    </row>
    <row r="5" spans="1:10" ht="12.75">
      <c r="A5">
        <v>1</v>
      </c>
      <c r="B5" s="9" t="s">
        <v>12</v>
      </c>
      <c r="C5" s="9" t="s">
        <v>41</v>
      </c>
      <c r="D5" s="11">
        <v>-33.862</v>
      </c>
      <c r="E5" s="11">
        <v>151.205</v>
      </c>
      <c r="F5" s="13">
        <v>0.07291666666666667</v>
      </c>
      <c r="G5" s="12">
        <v>0.21048966823363466</v>
      </c>
      <c r="H5" s="12">
        <v>0.5699027072758093</v>
      </c>
      <c r="I5" s="8" t="s">
        <v>34</v>
      </c>
      <c r="J5" s="8" t="s">
        <v>35</v>
      </c>
    </row>
    <row r="6" spans="1:10" ht="12.75">
      <c r="A6">
        <v>2</v>
      </c>
      <c r="B6" s="9" t="s">
        <v>12</v>
      </c>
      <c r="C6" s="9" t="s">
        <v>42</v>
      </c>
      <c r="D6" s="11">
        <v>61.167</v>
      </c>
      <c r="E6" s="11">
        <v>-149.983</v>
      </c>
      <c r="F6" s="13">
        <v>0.07291666666666667</v>
      </c>
      <c r="G6" s="12">
        <v>0.22044720303530865</v>
      </c>
      <c r="H6" s="12">
        <v>0.5344754653130305</v>
      </c>
      <c r="I6" s="17">
        <v>1</v>
      </c>
      <c r="J6" s="17">
        <v>2</v>
      </c>
    </row>
    <row r="7" spans="1:10" ht="12.75">
      <c r="A7">
        <v>3</v>
      </c>
      <c r="B7" s="9"/>
      <c r="C7" s="9"/>
      <c r="D7" s="11"/>
      <c r="E7" s="11"/>
      <c r="F7" s="13"/>
      <c r="G7" s="12"/>
      <c r="H7" s="12"/>
      <c r="I7" s="24">
        <f>IF(ABS(VLOOKUP(Obs1,values,6)-VLOOKUP(Obs2,values,6))&gt;5/60/24,"not simultaneous!","")</f>
      </c>
      <c r="J7" s="24"/>
    </row>
    <row r="8" spans="1:10" ht="12.75">
      <c r="A8">
        <v>4</v>
      </c>
      <c r="B8" s="9"/>
      <c r="C8" s="9"/>
      <c r="D8" s="11"/>
      <c r="E8" s="11"/>
      <c r="F8" s="13"/>
      <c r="G8" s="12"/>
      <c r="H8" s="12"/>
      <c r="I8" s="16" t="str">
        <f>IF(I7="","piS in arcsec","")</f>
        <v>piS in arcsec</v>
      </c>
      <c r="J8" s="14">
        <f>IF($I$7="",Calculation!B28,"")</f>
        <v>8.789336713919125</v>
      </c>
    </row>
    <row r="9" spans="1:10" ht="12.75">
      <c r="A9">
        <v>5</v>
      </c>
      <c r="B9" s="9"/>
      <c r="C9" s="9"/>
      <c r="D9" s="11"/>
      <c r="E9" s="11"/>
      <c r="F9" s="13"/>
      <c r="G9" s="12"/>
      <c r="H9" s="12"/>
      <c r="I9" s="16" t="str">
        <f>IF(I7="","1AE in RE","")</f>
        <v>1AE in RE</v>
      </c>
      <c r="J9" s="15">
        <f>IF($I$7="",Calculation!B29,"")</f>
        <v>23467.61911174112</v>
      </c>
    </row>
    <row r="10" spans="1:10" ht="12.75">
      <c r="A10">
        <v>6</v>
      </c>
      <c r="B10" s="9"/>
      <c r="C10" s="9"/>
      <c r="D10" s="11"/>
      <c r="E10" s="11"/>
      <c r="F10" s="13"/>
      <c r="G10" s="12"/>
      <c r="H10" s="12"/>
      <c r="I10" s="16" t="str">
        <f>IF(I7="","1AE in km","")</f>
        <v>1AE in km</v>
      </c>
      <c r="J10" s="15">
        <f>IF($I$7="",Calculation!B30,"")</f>
        <v>149679760.16136053</v>
      </c>
    </row>
    <row r="11" spans="1:8" ht="12.75">
      <c r="A11">
        <v>7</v>
      </c>
      <c r="B11" s="9"/>
      <c r="C11" s="9"/>
      <c r="D11" s="11"/>
      <c r="E11" s="11"/>
      <c r="F11" s="13"/>
      <c r="G11" s="12"/>
      <c r="H11" s="12"/>
    </row>
    <row r="12" spans="1:8" ht="12.75">
      <c r="A12">
        <v>8</v>
      </c>
      <c r="B12" s="9"/>
      <c r="C12" s="9"/>
      <c r="D12" s="11"/>
      <c r="E12" s="11"/>
      <c r="F12" s="13"/>
      <c r="G12" s="12"/>
      <c r="H12" s="12"/>
    </row>
    <row r="13" spans="1:11" ht="12.75">
      <c r="A13">
        <v>9</v>
      </c>
      <c r="B13" s="9"/>
      <c r="C13" s="9"/>
      <c r="D13" s="11"/>
      <c r="E13" s="11"/>
      <c r="F13" s="13"/>
      <c r="G13" s="12"/>
      <c r="H13" s="12"/>
      <c r="K13" s="15"/>
    </row>
    <row r="14" spans="1:8" ht="12.75">
      <c r="A14">
        <v>10</v>
      </c>
      <c r="B14" s="9"/>
      <c r="C14" s="9"/>
      <c r="D14" s="11"/>
      <c r="E14" s="11"/>
      <c r="F14" s="13"/>
      <c r="G14" s="12"/>
      <c r="H14" s="12"/>
    </row>
    <row r="15" spans="1:8" ht="12.75">
      <c r="A15">
        <v>11</v>
      </c>
      <c r="B15" s="9"/>
      <c r="C15" s="9"/>
      <c r="D15" s="11"/>
      <c r="E15" s="11"/>
      <c r="F15" s="13"/>
      <c r="G15" s="12"/>
      <c r="H15" s="12"/>
    </row>
    <row r="16" spans="1:8" ht="12.75">
      <c r="A16">
        <v>12</v>
      </c>
      <c r="B16" s="9"/>
      <c r="C16" s="9"/>
      <c r="D16" s="11"/>
      <c r="E16" s="11"/>
      <c r="F16" s="13"/>
      <c r="G16" s="12"/>
      <c r="H16" s="12"/>
    </row>
    <row r="17" spans="1:8" ht="12.75">
      <c r="A17">
        <v>13</v>
      </c>
      <c r="B17" s="9"/>
      <c r="C17" s="9"/>
      <c r="D17" s="11"/>
      <c r="E17" s="11"/>
      <c r="F17" s="13"/>
      <c r="G17" s="12"/>
      <c r="H17" s="12"/>
    </row>
    <row r="18" spans="1:8" ht="12.75">
      <c r="A18">
        <v>14</v>
      </c>
      <c r="B18" s="9"/>
      <c r="C18" s="9"/>
      <c r="D18" s="11"/>
      <c r="E18" s="11"/>
      <c r="F18" s="13"/>
      <c r="G18" s="12"/>
      <c r="H18" s="12"/>
    </row>
    <row r="19" spans="1:8" ht="12.75">
      <c r="A19">
        <v>15</v>
      </c>
      <c r="B19" s="9"/>
      <c r="C19" s="9"/>
      <c r="D19" s="11"/>
      <c r="E19" s="11"/>
      <c r="F19" s="13"/>
      <c r="G19" s="12"/>
      <c r="H19" s="12"/>
    </row>
    <row r="20" spans="1:8" ht="12.75">
      <c r="A20">
        <v>16</v>
      </c>
      <c r="B20" s="9"/>
      <c r="C20" s="9"/>
      <c r="D20" s="11"/>
      <c r="E20" s="11"/>
      <c r="F20" s="13"/>
      <c r="G20" s="12"/>
      <c r="H20" s="12"/>
    </row>
    <row r="21" spans="1:8" ht="12.75">
      <c r="A21">
        <v>17</v>
      </c>
      <c r="B21" s="9"/>
      <c r="C21" s="9"/>
      <c r="D21" s="11"/>
      <c r="E21" s="11"/>
      <c r="F21" s="13"/>
      <c r="G21" s="12"/>
      <c r="H21" s="12"/>
    </row>
    <row r="22" spans="1:8" ht="12.75">
      <c r="A22">
        <v>18</v>
      </c>
      <c r="B22" s="9"/>
      <c r="C22" s="9"/>
      <c r="D22" s="11"/>
      <c r="E22" s="11"/>
      <c r="F22" s="13"/>
      <c r="G22" s="12"/>
      <c r="H22" s="12"/>
    </row>
    <row r="23" spans="1:8" ht="12.75">
      <c r="A23">
        <v>19</v>
      </c>
      <c r="B23" s="9"/>
      <c r="C23" s="9"/>
      <c r="D23" s="11"/>
      <c r="E23" s="11"/>
      <c r="F23" s="13"/>
      <c r="G23" s="12"/>
      <c r="H23" s="12"/>
    </row>
    <row r="24" spans="1:8" ht="12.75">
      <c r="A24">
        <v>20</v>
      </c>
      <c r="B24" s="9"/>
      <c r="C24" s="9"/>
      <c r="D24" s="11"/>
      <c r="E24" s="11"/>
      <c r="F24" s="13"/>
      <c r="G24" s="12"/>
      <c r="H24" s="12"/>
    </row>
    <row r="25" spans="1:8" ht="12.75">
      <c r="A25">
        <v>21</v>
      </c>
      <c r="B25" s="9"/>
      <c r="C25" s="9"/>
      <c r="D25" s="11"/>
      <c r="E25" s="11"/>
      <c r="F25" s="13"/>
      <c r="G25" s="12"/>
      <c r="H25" s="12"/>
    </row>
    <row r="26" spans="1:8" ht="12.75">
      <c r="A26">
        <v>22</v>
      </c>
      <c r="B26" s="9"/>
      <c r="C26" s="9"/>
      <c r="D26" s="11"/>
      <c r="E26" s="11"/>
      <c r="F26" s="13"/>
      <c r="G26" s="12"/>
      <c r="H26" s="12"/>
    </row>
    <row r="27" spans="1:8" ht="12.75">
      <c r="A27">
        <v>23</v>
      </c>
      <c r="B27" s="9"/>
      <c r="C27" s="9"/>
      <c r="D27" s="11"/>
      <c r="E27" s="11"/>
      <c r="F27" s="13"/>
      <c r="G27" s="12"/>
      <c r="H27" s="12"/>
    </row>
    <row r="28" spans="1:8" ht="12.75">
      <c r="A28">
        <v>24</v>
      </c>
      <c r="B28" s="9"/>
      <c r="C28" s="9"/>
      <c r="D28" s="11"/>
      <c r="E28" s="11"/>
      <c r="F28" s="13"/>
      <c r="G28" s="12"/>
      <c r="H28" s="12"/>
    </row>
    <row r="29" spans="1:8" ht="12.75">
      <c r="A29">
        <v>25</v>
      </c>
      <c r="B29" s="9"/>
      <c r="C29" s="9"/>
      <c r="D29" s="11"/>
      <c r="E29" s="11"/>
      <c r="F29" s="13"/>
      <c r="G29" s="12"/>
      <c r="H29" s="12"/>
    </row>
    <row r="30" spans="1:8" ht="12.75">
      <c r="A30">
        <v>26</v>
      </c>
      <c r="B30" s="9"/>
      <c r="C30" s="9"/>
      <c r="D30" s="11"/>
      <c r="E30" s="11"/>
      <c r="F30" s="13"/>
      <c r="G30" s="12"/>
      <c r="H30" s="12"/>
    </row>
    <row r="31" spans="1:8" ht="12.75">
      <c r="A31">
        <v>27</v>
      </c>
      <c r="B31" s="9"/>
      <c r="C31" s="9"/>
      <c r="D31" s="11"/>
      <c r="E31" s="11"/>
      <c r="F31" s="13"/>
      <c r="G31" s="12"/>
      <c r="H31" s="12"/>
    </row>
    <row r="32" spans="1:8" ht="12.75">
      <c r="A32">
        <v>28</v>
      </c>
      <c r="B32" s="9"/>
      <c r="C32" s="9"/>
      <c r="D32" s="11"/>
      <c r="E32" s="11"/>
      <c r="F32" s="13"/>
      <c r="G32" s="12"/>
      <c r="H32" s="12"/>
    </row>
    <row r="33" spans="1:8" ht="12.75">
      <c r="A33">
        <v>29</v>
      </c>
      <c r="B33" s="9"/>
      <c r="C33" s="9"/>
      <c r="D33" s="11"/>
      <c r="E33" s="11"/>
      <c r="F33" s="13"/>
      <c r="G33" s="12"/>
      <c r="H33" s="12"/>
    </row>
    <row r="34" spans="1:8" ht="12.75">
      <c r="A34">
        <v>30</v>
      </c>
      <c r="B34" s="9"/>
      <c r="C34" s="9"/>
      <c r="D34" s="11"/>
      <c r="E34" s="11"/>
      <c r="F34" s="13"/>
      <c r="G34" s="12"/>
      <c r="H34" s="12"/>
    </row>
    <row r="35" spans="1:8" ht="12.75">
      <c r="A35">
        <v>31</v>
      </c>
      <c r="B35" s="9"/>
      <c r="C35" s="9"/>
      <c r="D35" s="11"/>
      <c r="E35" s="11"/>
      <c r="F35" s="13"/>
      <c r="G35" s="12"/>
      <c r="H35" s="12"/>
    </row>
    <row r="36" spans="1:8" ht="12.75">
      <c r="A36">
        <v>32</v>
      </c>
      <c r="B36" s="9"/>
      <c r="C36" s="9"/>
      <c r="D36" s="11"/>
      <c r="E36" s="11"/>
      <c r="F36" s="13"/>
      <c r="G36" s="12"/>
      <c r="H36" s="12"/>
    </row>
    <row r="37" spans="1:8" ht="12.75">
      <c r="A37">
        <v>33</v>
      </c>
      <c r="B37" s="9"/>
      <c r="C37" s="9"/>
      <c r="D37" s="11"/>
      <c r="E37" s="11"/>
      <c r="F37" s="13"/>
      <c r="G37" s="12"/>
      <c r="H37" s="12"/>
    </row>
    <row r="38" spans="1:8" ht="12.75">
      <c r="A38">
        <v>34</v>
      </c>
      <c r="B38" s="9"/>
      <c r="C38" s="9"/>
      <c r="D38" s="11"/>
      <c r="E38" s="11"/>
      <c r="F38" s="13"/>
      <c r="G38" s="12"/>
      <c r="H38" s="12"/>
    </row>
    <row r="39" spans="1:8" ht="12.75">
      <c r="A39">
        <v>35</v>
      </c>
      <c r="B39" s="9"/>
      <c r="C39" s="9"/>
      <c r="D39" s="11"/>
      <c r="E39" s="11"/>
      <c r="F39" s="13"/>
      <c r="G39" s="12"/>
      <c r="H39" s="12"/>
    </row>
    <row r="40" spans="1:8" ht="12.75">
      <c r="A40">
        <v>36</v>
      </c>
      <c r="B40" s="9"/>
      <c r="C40" s="9"/>
      <c r="D40" s="11"/>
      <c r="E40" s="11"/>
      <c r="F40" s="13"/>
      <c r="G40" s="12"/>
      <c r="H40" s="12"/>
    </row>
    <row r="41" spans="1:8" ht="12.75">
      <c r="A41">
        <v>37</v>
      </c>
      <c r="B41" s="9"/>
      <c r="C41" s="9"/>
      <c r="D41" s="11"/>
      <c r="E41" s="11"/>
      <c r="F41" s="13"/>
      <c r="G41" s="12"/>
      <c r="H41" s="12"/>
    </row>
    <row r="42" spans="1:8" ht="12.75">
      <c r="A42">
        <v>38</v>
      </c>
      <c r="B42" s="9"/>
      <c r="C42" s="9"/>
      <c r="D42" s="11"/>
      <c r="E42" s="11"/>
      <c r="F42" s="13"/>
      <c r="G42" s="12"/>
      <c r="H42" s="12"/>
    </row>
    <row r="43" spans="1:8" ht="12.75">
      <c r="A43">
        <v>39</v>
      </c>
      <c r="B43" s="9"/>
      <c r="C43" s="9"/>
      <c r="D43" s="11"/>
      <c r="E43" s="11"/>
      <c r="F43" s="13"/>
      <c r="G43" s="12"/>
      <c r="H43" s="12"/>
    </row>
    <row r="44" spans="1:8" ht="12.75">
      <c r="A44">
        <v>40</v>
      </c>
      <c r="B44" s="9"/>
      <c r="C44" s="9"/>
      <c r="D44" s="11"/>
      <c r="E44" s="11"/>
      <c r="F44" s="13"/>
      <c r="G44" s="12"/>
      <c r="H44" s="12"/>
    </row>
    <row r="45" spans="1:8" ht="12.75">
      <c r="A45">
        <v>41</v>
      </c>
      <c r="B45" s="9"/>
      <c r="C45" s="9"/>
      <c r="D45" s="11"/>
      <c r="E45" s="11"/>
      <c r="F45" s="13"/>
      <c r="G45" s="12"/>
      <c r="H45" s="12"/>
    </row>
    <row r="46" spans="1:8" ht="12.75">
      <c r="A46">
        <v>42</v>
      </c>
      <c r="B46" s="9"/>
      <c r="C46" s="9"/>
      <c r="D46" s="11"/>
      <c r="E46" s="11"/>
      <c r="F46" s="13"/>
      <c r="G46" s="12"/>
      <c r="H46" s="12"/>
    </row>
    <row r="47" spans="1:8" ht="12.75">
      <c r="A47">
        <v>43</v>
      </c>
      <c r="B47" s="9"/>
      <c r="C47" s="9"/>
      <c r="D47" s="11"/>
      <c r="E47" s="11"/>
      <c r="F47" s="13"/>
      <c r="G47" s="12"/>
      <c r="H47" s="12"/>
    </row>
    <row r="48" spans="1:8" ht="12.75">
      <c r="A48">
        <v>44</v>
      </c>
      <c r="B48" s="9"/>
      <c r="C48" s="9"/>
      <c r="D48" s="11"/>
      <c r="E48" s="11"/>
      <c r="F48" s="13"/>
      <c r="G48" s="12"/>
      <c r="H48" s="12"/>
    </row>
    <row r="49" spans="1:8" ht="12.75">
      <c r="A49">
        <v>45</v>
      </c>
      <c r="B49" s="9"/>
      <c r="C49" s="9"/>
      <c r="D49" s="11"/>
      <c r="E49" s="11"/>
      <c r="F49" s="13"/>
      <c r="G49" s="12"/>
      <c r="H49" s="12"/>
    </row>
    <row r="50" spans="1:8" ht="12.75">
      <c r="A50">
        <v>46</v>
      </c>
      <c r="B50" s="9"/>
      <c r="C50" s="9"/>
      <c r="D50" s="11"/>
      <c r="E50" s="11"/>
      <c r="F50" s="13"/>
      <c r="G50" s="12"/>
      <c r="H50" s="12"/>
    </row>
    <row r="51" spans="1:8" ht="12.75">
      <c r="A51">
        <v>47</v>
      </c>
      <c r="B51" s="9"/>
      <c r="C51" s="9"/>
      <c r="D51" s="11"/>
      <c r="E51" s="11"/>
      <c r="F51" s="13"/>
      <c r="G51" s="12"/>
      <c r="H51" s="12"/>
    </row>
    <row r="52" spans="1:8" ht="12.75">
      <c r="A52">
        <v>48</v>
      </c>
      <c r="B52" s="9"/>
      <c r="C52" s="9"/>
      <c r="D52" s="11"/>
      <c r="E52" s="11"/>
      <c r="F52" s="13"/>
      <c r="G52" s="12"/>
      <c r="H52" s="12"/>
    </row>
    <row r="53" spans="1:8" ht="12.75">
      <c r="A53">
        <v>49</v>
      </c>
      <c r="B53" s="9"/>
      <c r="C53" s="9"/>
      <c r="D53" s="11"/>
      <c r="E53" s="11"/>
      <c r="F53" s="13"/>
      <c r="G53" s="12"/>
      <c r="H53" s="12"/>
    </row>
    <row r="54" spans="1:8" ht="12.75">
      <c r="A54">
        <v>50</v>
      </c>
      <c r="B54" s="9"/>
      <c r="C54" s="9"/>
      <c r="D54" s="11"/>
      <c r="E54" s="11"/>
      <c r="F54" s="13"/>
      <c r="G54" s="12"/>
      <c r="H54" s="12"/>
    </row>
  </sheetData>
  <mergeCells count="3">
    <mergeCell ref="B2:H2"/>
    <mergeCell ref="I3:J4"/>
    <mergeCell ref="I7:J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B29" sqref="B29"/>
    </sheetView>
  </sheetViews>
  <sheetFormatPr defaultColWidth="11.421875" defaultRowHeight="12.75"/>
  <cols>
    <col min="1" max="1" width="16.7109375" style="0" customWidth="1"/>
    <col min="2" max="2" width="16.57421875" style="0" customWidth="1"/>
  </cols>
  <sheetData>
    <row r="2" spans="1:7" ht="12.75">
      <c r="A2" s="24" t="s">
        <v>36</v>
      </c>
      <c r="B2" s="24"/>
      <c r="C2" s="24"/>
      <c r="D2" s="24"/>
      <c r="E2" s="24"/>
      <c r="F2" s="24"/>
      <c r="G2" s="24"/>
    </row>
    <row r="4" spans="1:7" ht="12.7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</row>
    <row r="5" spans="1:7" ht="12.75">
      <c r="A5" s="9" t="str">
        <f>VLOOKUP(Obs1,values,2)</f>
        <v>theor.</v>
      </c>
      <c r="B5" s="9" t="str">
        <f>VLOOKUP(Obs1,values,3)</f>
        <v>Sydney</v>
      </c>
      <c r="C5" s="9">
        <f>VLOOKUP(Obs1,values,4)</f>
        <v>-33.862</v>
      </c>
      <c r="D5" s="9">
        <f>VLOOKUP(Obs1,values,5)</f>
        <v>151.205</v>
      </c>
      <c r="E5" s="10">
        <f>VLOOKUP(Obs1,values,6)</f>
        <v>0.07291666666666667</v>
      </c>
      <c r="F5" s="9">
        <f>VLOOKUP(Obs1,values,7)</f>
        <v>0.21048966823363466</v>
      </c>
      <c r="G5" s="9">
        <f>VLOOKUP(Obs1,values,8)</f>
        <v>0.5699027072758093</v>
      </c>
    </row>
    <row r="6" spans="1:7" ht="12.75">
      <c r="A6" s="9" t="str">
        <f>VLOOKUP(Obs2,values,2)</f>
        <v>theor.</v>
      </c>
      <c r="B6" s="9" t="str">
        <f>VLOOKUP(Obs2,values,3)</f>
        <v>Anchorage</v>
      </c>
      <c r="C6" s="9">
        <f>VLOOKUP(Obs2,values,4)</f>
        <v>61.167</v>
      </c>
      <c r="D6" s="9">
        <f>VLOOKUP(Obs2,values,5)</f>
        <v>-149.983</v>
      </c>
      <c r="E6" s="10">
        <f>VLOOKUP(Obs2,values,6)</f>
        <v>0.07291666666666667</v>
      </c>
      <c r="F6" s="9">
        <f>VLOOKUP(Obs2,values,7)</f>
        <v>0.22044720303530865</v>
      </c>
      <c r="G6" s="9">
        <f>VLOOKUP(Obs2,values,8)</f>
        <v>0.5344754653130305</v>
      </c>
    </row>
    <row r="8" spans="1:7" ht="12.75">
      <c r="A8" t="s">
        <v>0</v>
      </c>
      <c r="B8">
        <v>15.76</v>
      </c>
      <c r="F8" s="3"/>
      <c r="G8" s="3"/>
    </row>
    <row r="9" spans="1:7" ht="12.75">
      <c r="A9" t="s">
        <v>15</v>
      </c>
      <c r="B9">
        <v>0.715</v>
      </c>
      <c r="F9" s="4"/>
      <c r="G9" s="3"/>
    </row>
    <row r="10" spans="1:7" ht="12.75">
      <c r="A10" t="s">
        <v>43</v>
      </c>
      <c r="B10">
        <v>1.014</v>
      </c>
      <c r="F10" s="4"/>
      <c r="G10" s="3"/>
    </row>
    <row r="11" spans="1:2" ht="12.75">
      <c r="A11" t="s">
        <v>1</v>
      </c>
      <c r="B11">
        <v>74.204</v>
      </c>
    </row>
    <row r="12" spans="1:2" ht="12.75">
      <c r="A12" t="s">
        <v>2</v>
      </c>
      <c r="B12">
        <v>22.645</v>
      </c>
    </row>
    <row r="13" spans="1:3" ht="12.75">
      <c r="A13" t="s">
        <v>3</v>
      </c>
      <c r="B13" s="1">
        <v>0.7078009259259259</v>
      </c>
      <c r="C13" s="2"/>
    </row>
    <row r="14" spans="1:2" ht="12.75">
      <c r="A14" t="s">
        <v>4</v>
      </c>
      <c r="B14">
        <f>PI()/180</f>
        <v>0.017453292519943295</v>
      </c>
    </row>
    <row r="15" spans="1:2" ht="12.75">
      <c r="A15" t="s">
        <v>13</v>
      </c>
      <c r="B15">
        <v>1.0027379093</v>
      </c>
    </row>
    <row r="16" spans="1:2" ht="12.75">
      <c r="A16" t="s">
        <v>26</v>
      </c>
      <c r="B16">
        <v>6378.14</v>
      </c>
    </row>
    <row r="17" ht="12.75">
      <c r="E17" s="4"/>
    </row>
    <row r="19" spans="1:3" ht="12.75">
      <c r="A19" s="4" t="s">
        <v>22</v>
      </c>
      <c r="B19" s="4">
        <f>thetaGr0*360+long1+E5*360*STdurchUT</f>
        <v>432.3352034524583</v>
      </c>
      <c r="C19" s="4"/>
    </row>
    <row r="20" spans="1:2" ht="12.75">
      <c r="A20" s="4" t="s">
        <v>23</v>
      </c>
      <c r="B20" s="4">
        <f>thetaGr0*360+long2+E6*360*STdurchUT</f>
        <v>131.14720345245834</v>
      </c>
    </row>
    <row r="21" spans="1:5" ht="12.75">
      <c r="A21" t="s">
        <v>17</v>
      </c>
      <c r="B21">
        <f>E21*COS(theta1*deg)*COS(lat1*deg)</f>
        <v>0.2519774895485401</v>
      </c>
      <c r="C21">
        <f>E21*SIN(theta1*deg)*COS(lat1*deg)</f>
        <v>0.791227926969143</v>
      </c>
      <c r="D21">
        <f>E21*SIN(lat1*deg)</f>
        <v>-0.5571945013592001</v>
      </c>
      <c r="E21">
        <f>IF(ABS(long1*lat1)&lt;1,0,1)</f>
        <v>1</v>
      </c>
    </row>
    <row r="22" spans="1:5" ht="12.75">
      <c r="A22" t="s">
        <v>16</v>
      </c>
      <c r="B22">
        <f>E22*COS(theta2*deg)*COS(lat2*deg)</f>
        <v>-0.3173239670399469</v>
      </c>
      <c r="C22">
        <f>E22*SIN(theta2*deg)*COS(lat2*deg)</f>
        <v>0.3631509026131039</v>
      </c>
      <c r="D22">
        <f>E22*SIN(lat2*deg)</f>
        <v>0.8760290645140255</v>
      </c>
      <c r="E22">
        <f>IF(ABS(long2*lat2)&lt;1,0,1)</f>
        <v>1</v>
      </c>
    </row>
    <row r="23" spans="1:5" ht="12.75">
      <c r="A23" t="s">
        <v>24</v>
      </c>
      <c r="B23">
        <f>B22-B21</f>
        <v>-0.5693014565884871</v>
      </c>
      <c r="C23">
        <f>C22-C21</f>
        <v>-0.4280770243560391</v>
      </c>
      <c r="D23">
        <f>D22-D21</f>
        <v>1.4332235658732255</v>
      </c>
      <c r="E23">
        <f>SQRT(B23*B23+C23*C23+D23*D23)</f>
        <v>1.6004636443948541</v>
      </c>
    </row>
    <row r="24" spans="1:5" ht="12.75">
      <c r="A24" t="s">
        <v>14</v>
      </c>
      <c r="B24">
        <f>E24*COS(alphaS*deg)*COS(deltaS*deg)</f>
        <v>0.2512276501075419</v>
      </c>
      <c r="C24">
        <f>E24*SIN(alphaS*deg)*COS(deltaS*deg)</f>
        <v>0.8880563286331702</v>
      </c>
      <c r="D24">
        <f>E24*SIN(deltaS*deg)</f>
        <v>0.38502029166787727</v>
      </c>
      <c r="E24">
        <v>1</v>
      </c>
    </row>
    <row r="25" spans="1:2" ht="12.75">
      <c r="A25" t="s">
        <v>18</v>
      </c>
      <c r="B25">
        <f>B23*B24+C23*C24+D23*D24</f>
        <v>0.02863937759442181</v>
      </c>
    </row>
    <row r="26" spans="1:2" ht="12.75">
      <c r="A26" t="s">
        <v>19</v>
      </c>
      <c r="B26" s="5">
        <f>ACOS(B25/E23)/deg</f>
        <v>88.9746702116843</v>
      </c>
    </row>
    <row r="27" spans="1:2" ht="12.75">
      <c r="A27" t="s">
        <v>20</v>
      </c>
      <c r="B27" s="4">
        <f>SQRT((xrel1-xrel2)^2+(yrel1-yrel2)^2)*rhoS*60</f>
        <v>34.79810534124625</v>
      </c>
    </row>
    <row r="28" spans="1:2" ht="12.75">
      <c r="A28" t="s">
        <v>21</v>
      </c>
      <c r="B28" s="6">
        <f>B27/E23/SIN(B26*deg)*(1/rVenus-1)*dSun</f>
        <v>8.789336713919125</v>
      </c>
    </row>
    <row r="29" spans="1:2" ht="12.75">
      <c r="A29" t="s">
        <v>25</v>
      </c>
      <c r="B29" s="18">
        <f>1/(B28/3600*deg)</f>
        <v>23467.61911174112</v>
      </c>
    </row>
    <row r="30" spans="1:2" ht="12.75">
      <c r="A30" t="s">
        <v>27</v>
      </c>
      <c r="B30" s="18">
        <f>B29*RE</f>
        <v>149679760.16136053</v>
      </c>
    </row>
  </sheetData>
  <mergeCells count="1"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Duisburg-Essen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 Backhaus</cp:lastModifiedBy>
  <dcterms:created xsi:type="dcterms:W3CDTF">2012-04-18T21:18:42Z</dcterms:created>
  <dcterms:modified xsi:type="dcterms:W3CDTF">2012-04-21T13:00:33Z</dcterms:modified>
  <cp:category/>
  <cp:version/>
  <cp:contentType/>
  <cp:contentStatus/>
</cp:coreProperties>
</file>